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<sst xmlns="http://schemas.openxmlformats.org/spreadsheetml/2006/main" count="162" uniqueCount="112">
  <si>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</si>
  <si>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</si>
  <si>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</si>
  <si>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</si>
  <si>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</si>
  <si>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</si>
  <si>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</si>
  <si>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</si>
  <si>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</si>
  <si>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</si>
  <si>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</si>
  <si>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</si>
  <si>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</si>
  <si>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</si>
  <si>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</si>
  <si>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</si>
  <si>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</si>
  <si>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</si>
  <si>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</si>
  <si>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</si>
  <si>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</si>
  <si>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</si>
  <si>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</si>
  <si>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</si>
  <si>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</si>
  <si>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</si>
  <si>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</si>
  <si>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</si>
  <si>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</si>
  <si>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</si>
  <si>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</si>
  <si>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</si>
  <si>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</si>
  <si>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</si>
  <si>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</si>
  <si>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</si>
  <si>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</si>
  <si>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</si>
  <si>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</si>
  <si>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</si>
  <si>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</si>
  <si>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</si>
  <si>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</si>
  <si>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</si>
  <si>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</si>
  <si>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</si>
  <si>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</si>
  <si>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</si>
  <si>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</si>
  <si>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</si>
  <si>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</si>
  <si>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</si>
  <si>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</si>
  <si>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</si>
  <si>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</si>
  <si>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</si>
  <si>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</si>
  <si>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</si>
  <si>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</si>
  <si>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</si>
  <si>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</si>
  <si>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</si>
  <si>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</si>
  <si>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</si>
  <si>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</si>
  <si>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</si>
  <si>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</si>
  <si>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</si>
  <si>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</si>
  <si>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</si>
  <si>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</si>
  <si>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</si>
  <si>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</si>
  <si>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</si>
  <si>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</si>
  <si>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</si>
  <si>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</si>
  <si>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</si>
  <si>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</si>
  <si>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</si>
  <si>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</si>
  <si>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</si>
  <si>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</si>
  <si>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</si>
  <si>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</si>
  <si>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</si>
  <si>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</si>
  <si>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</si>
  <si>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</si>
  <si>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</si>
  <si>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</si>
  <si>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</si>
  <si>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</si>
  <si>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</si>
  <si>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</si>
  <si>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</si>
  <si>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</si>
  <si>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</si>
  <si>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</si>
  <si>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</si>
  <si>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</si>
  <si>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</si>
  <si>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</si>
  <si>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</si>
  <si>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</si>
  <si>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</si>
  <si>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</si>
  <si>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</si>
  <si>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План на 4 місяці, тис.грн.</t>
  </si>
  <si>
    <t>Відсоток виконання плану 4-х місяців</t>
  </si>
  <si>
    <t>Відхилення від плану 4-х місяців, тис.грн.</t>
  </si>
  <si>
    <t>Аналіз використання коштів загального фонду міського бюджету станом на 04.04.2017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</si>
</sst>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64911435"/>
        <c:axId val="47332004"/>
      </c:bar3DChart>
      <c:catAx>
        <c:axId val="64911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11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23334853"/>
        <c:axId val="8687086"/>
      </c:bar3DChart>
      <c:catAx>
        <c:axId val="2333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87086"/>
        <c:crosses val="autoZero"/>
        <c:auto val="1"/>
        <c:lblOffset val="100"/>
        <c:tickLblSkip val="1"/>
        <c:noMultiLvlLbl val="0"/>
      </c:catAx>
      <c:valAx>
        <c:axId val="868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348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1074911"/>
        <c:axId val="32565336"/>
      </c:bar3D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24652569"/>
        <c:axId val="20546530"/>
      </c:bar3DChart>
      <c:catAx>
        <c:axId val="24652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46530"/>
        <c:crosses val="autoZero"/>
        <c:auto val="1"/>
        <c:lblOffset val="100"/>
        <c:tickLblSkip val="1"/>
        <c:noMultiLvlLbl val="0"/>
      </c:catAx>
      <c:valAx>
        <c:axId val="20546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525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50701043"/>
        <c:axId val="53656204"/>
      </c:bar3D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56204"/>
        <c:crosses val="autoZero"/>
        <c:auto val="1"/>
        <c:lblOffset val="100"/>
        <c:tickLblSkip val="2"/>
        <c:noMultiLvlLbl val="0"/>
      </c:catAx>
      <c:valAx>
        <c:axId val="536562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010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13143789"/>
        <c:axId val="51185238"/>
      </c:bar3D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43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58013959"/>
        <c:axId val="52363584"/>
      </c:bar3D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13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1510209"/>
        <c:axId val="13591882"/>
      </c:bar3DChart>
      <c:catAx>
        <c:axId val="15102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2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55218075"/>
        <c:axId val="27200628"/>
      </c:bar3D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220467.5</v>
      </c>
      <c r="C6" s="46">
        <f>625865.1-190.4-316.9+47.1+50+198</f>
        <v>625652.8999999999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</f>
        <v>156326.10000000003</v>
      </c>
      <c r="E6" s="3">
        <f>D6/D150*100</f>
        <v>40.065031373908866</v>
      </c>
      <c r="F6" s="3">
        <f>D6/B6*100</f>
        <v>70.90664156848516</v>
      </c>
      <c r="G6" s="3">
        <f aca="true" t="shared" si="0" ref="G6:G43">D6/C6*100</f>
        <v>24.986074547085142</v>
      </c>
      <c r="H6" s="47">
        <f>B6-D6</f>
        <v>64141.399999999965</v>
      </c>
      <c r="I6" s="47">
        <f aca="true" t="shared" si="1" ref="I6:I43">C6-D6</f>
        <v>469326.7999999999</v>
      </c>
    </row>
    <row r="7" spans="1:9" s="37" customFormat="1" ht="18.75">
      <c r="A7" s="104" t="s">
        <v>83</v>
      </c>
      <c r="B7" s="97">
        <v>74928.4</v>
      </c>
      <c r="C7" s="94">
        <f>243287.4+47.1</f>
        <v>243334.5</v>
      </c>
      <c r="D7" s="105">
        <f>6699.4+11261.7+10.2+8073.8+9792.3+0.1+0.8+7352+6.6+10108.4-0.1</f>
        <v>53305.2</v>
      </c>
      <c r="E7" s="95">
        <f>D7/D6*100</f>
        <v>34.09872055913887</v>
      </c>
      <c r="F7" s="95">
        <f>D7/B7*100</f>
        <v>71.141516434356</v>
      </c>
      <c r="G7" s="95">
        <f>D7/C7*100</f>
        <v>21.906141545896695</v>
      </c>
      <c r="H7" s="105">
        <f>B7-D7</f>
        <v>21623.199999999997</v>
      </c>
      <c r="I7" s="105">
        <f t="shared" si="1"/>
        <v>190029.3</v>
      </c>
    </row>
    <row r="8" spans="1:9" ht="18">
      <c r="A8" s="23" t="s">
        <v>3</v>
      </c>
      <c r="B8" s="42">
        <f>151038.5+2656.2</f>
        <v>153694.7</v>
      </c>
      <c r="C8" s="43">
        <f>487771.7+47.1</f>
        <v>487818.8</v>
      </c>
      <c r="D8" s="44">
        <f>12945+14658+9353.4+10.2+0.1+7+16015+13071.9+6973.3+1906+3.4+7.6+13882.5+6.6+747.5+21101.8+2656.1</f>
        <v>113345.40000000001</v>
      </c>
      <c r="E8" s="1">
        <f>D8/D6*100</f>
        <v>72.50574280302521</v>
      </c>
      <c r="F8" s="1">
        <f>D8/B8*100</f>
        <v>73.74711034277695</v>
      </c>
      <c r="G8" s="1">
        <f t="shared" si="0"/>
        <v>23.235143868993983</v>
      </c>
      <c r="H8" s="44">
        <f>B8-D8</f>
        <v>40349.3</v>
      </c>
      <c r="I8" s="44">
        <f t="shared" si="1"/>
        <v>374473.39999999997</v>
      </c>
    </row>
    <row r="9" spans="1:9" ht="18">
      <c r="A9" s="23" t="s">
        <v>2</v>
      </c>
      <c r="B9" s="42">
        <v>37.9</v>
      </c>
      <c r="C9" s="43">
        <v>92.5</v>
      </c>
      <c r="D9" s="44">
        <f>2.5+4.3+3.3+7</f>
        <v>17.1</v>
      </c>
      <c r="E9" s="12">
        <f>D9/D6*100</f>
        <v>0.010938672428980188</v>
      </c>
      <c r="F9" s="120">
        <f>D9/B9*100</f>
        <v>45.11873350923483</v>
      </c>
      <c r="G9" s="1">
        <f t="shared" si="0"/>
        <v>18.486486486486488</v>
      </c>
      <c r="H9" s="44">
        <f aca="true" t="shared" si="2" ref="H9:H43">B9-D9</f>
        <v>20.799999999999997</v>
      </c>
      <c r="I9" s="44">
        <f t="shared" si="1"/>
        <v>75.4</v>
      </c>
    </row>
    <row r="10" spans="1:9" ht="18">
      <c r="A10" s="23" t="s">
        <v>1</v>
      </c>
      <c r="B10" s="42">
        <v>11420.6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</f>
        <v>7381.1</v>
      </c>
      <c r="E10" s="1">
        <f>D10/D6*100</f>
        <v>4.721604389797992</v>
      </c>
      <c r="F10" s="1">
        <f aca="true" t="shared" si="3" ref="F10:F41">D10/B10*100</f>
        <v>64.62970421869254</v>
      </c>
      <c r="G10" s="1">
        <f t="shared" si="0"/>
        <v>26.877992826320487</v>
      </c>
      <c r="H10" s="44">
        <f t="shared" si="2"/>
        <v>4039.5</v>
      </c>
      <c r="I10" s="44">
        <f t="shared" si="1"/>
        <v>20080.4</v>
      </c>
    </row>
    <row r="11" spans="1:9" ht="18">
      <c r="A11" s="23" t="s">
        <v>0</v>
      </c>
      <c r="B11" s="42">
        <f>47704.8-2656.2</f>
        <v>45048.600000000006</v>
      </c>
      <c r="C11" s="43">
        <v>80900.5</v>
      </c>
      <c r="D11" s="49">
        <f>143.9+390+0.1+142.7+13.1+169.2+704.4+3378.9+1906.3+468.5+6301.9+20.7+31.8+0.1+3059.4+2301.7+3149.2+438.7+2370.2+711.7+2057.8+893.1+2232.6</f>
        <v>30886</v>
      </c>
      <c r="E11" s="1">
        <f>D11/D6*100</f>
        <v>19.757417347455092</v>
      </c>
      <c r="F11" s="1">
        <f t="shared" si="3"/>
        <v>68.5615091256998</v>
      </c>
      <c r="G11" s="1">
        <f t="shared" si="0"/>
        <v>38.17776157131291</v>
      </c>
      <c r="H11" s="44">
        <f t="shared" si="2"/>
        <v>14162.600000000006</v>
      </c>
      <c r="I11" s="44">
        <f t="shared" si="1"/>
        <v>50014.5</v>
      </c>
    </row>
    <row r="12" spans="1:9" ht="18">
      <c r="A12" s="23" t="s">
        <v>14</v>
      </c>
      <c r="B12" s="42">
        <v>4755</v>
      </c>
      <c r="C12" s="43">
        <v>14045.4</v>
      </c>
      <c r="D12" s="44">
        <f>276.3+3.4+1.2+766.5+1.2+207.2+488.1+284.1+207.8+0.1+1.2+2.8+9+434.7+164.8+490.2+0.8</f>
        <v>3339.4</v>
      </c>
      <c r="E12" s="1">
        <f>D12/D6*100</f>
        <v>2.1361755970372185</v>
      </c>
      <c r="F12" s="1">
        <f t="shared" si="3"/>
        <v>70.22923238696109</v>
      </c>
      <c r="G12" s="1">
        <f t="shared" si="0"/>
        <v>23.775755763452803</v>
      </c>
      <c r="H12" s="44">
        <f t="shared" si="2"/>
        <v>1415.6</v>
      </c>
      <c r="I12" s="44">
        <f t="shared" si="1"/>
        <v>10706</v>
      </c>
    </row>
    <row r="13" spans="1:9" ht="18.75" thickBot="1">
      <c r="A13" s="23" t="s">
        <v>28</v>
      </c>
      <c r="B13" s="43">
        <f>B6-B8-B9-B10-B11-B12</f>
        <v>5510.69999999999</v>
      </c>
      <c r="C13" s="43">
        <f>C6-C8-C9-C10-C11-C12</f>
        <v>15334.199999999919</v>
      </c>
      <c r="D13" s="43">
        <f>D6-D8-D9-D10-D11-D12</f>
        <v>1357.100000000029</v>
      </c>
      <c r="E13" s="1">
        <f>D13/D6*100</f>
        <v>0.8681211902555164</v>
      </c>
      <c r="F13" s="1">
        <f t="shared" si="3"/>
        <v>24.626635454661503</v>
      </c>
      <c r="G13" s="1">
        <f t="shared" si="0"/>
        <v>8.850151947933615</v>
      </c>
      <c r="H13" s="44">
        <f t="shared" si="2"/>
        <v>4153.59999999996</v>
      </c>
      <c r="I13" s="44">
        <f t="shared" si="1"/>
        <v>13977.09999999989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140167.4</v>
      </c>
      <c r="C18" s="46">
        <f>329127.1+600+14307.6+200+1333.8</f>
        <v>345568.49999999994</v>
      </c>
      <c r="D18" s="47">
        <f>7750.2+16091.8+509.8+21.4+337.2+206.3+9326.4+708.9+873+242.1+3327.1+2.3+17653.4+33.8-2.1+533.8+30.7+490.1+11915.5+3423.1+24.3+167.7+3429.8+14147.8+57.6+1.8+36.5</f>
        <v>91340.30000000003</v>
      </c>
      <c r="E18" s="3">
        <f>D18/D150*100</f>
        <v>23.40973122979623</v>
      </c>
      <c r="F18" s="3">
        <f>D18/B18*100</f>
        <v>65.16515252476684</v>
      </c>
      <c r="G18" s="3">
        <f t="shared" si="0"/>
        <v>26.431894110719018</v>
      </c>
      <c r="H18" s="47">
        <f>B18-D18</f>
        <v>48827.09999999996</v>
      </c>
      <c r="I18" s="47">
        <f t="shared" si="1"/>
        <v>254228.1999999999</v>
      </c>
    </row>
    <row r="19" spans="1:13" s="37" customFormat="1" ht="18.75">
      <c r="A19" s="104" t="s">
        <v>84</v>
      </c>
      <c r="B19" s="97">
        <v>80654.3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</f>
        <v>54515.8</v>
      </c>
      <c r="E19" s="95">
        <f>D19/D18*100</f>
        <v>59.68427955677832</v>
      </c>
      <c r="F19" s="95">
        <f t="shared" si="3"/>
        <v>67.59193248221112</v>
      </c>
      <c r="G19" s="95">
        <f t="shared" si="0"/>
        <v>22.76181549066723</v>
      </c>
      <c r="H19" s="105">
        <f t="shared" si="2"/>
        <v>26138.5</v>
      </c>
      <c r="I19" s="105">
        <f t="shared" si="1"/>
        <v>184989.7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140167.4</v>
      </c>
      <c r="C25" s="43">
        <f>C18</f>
        <v>345568.49999999994</v>
      </c>
      <c r="D25" s="43">
        <f>D18</f>
        <v>91340.30000000003</v>
      </c>
      <c r="E25" s="1">
        <f>D25/D18*100</f>
        <v>100</v>
      </c>
      <c r="F25" s="1">
        <f t="shared" si="3"/>
        <v>65.16515252476684</v>
      </c>
      <c r="G25" s="1">
        <f t="shared" si="0"/>
        <v>26.431894110719018</v>
      </c>
      <c r="H25" s="44">
        <f t="shared" si="2"/>
        <v>48827.09999999996</v>
      </c>
      <c r="I25" s="44">
        <f t="shared" si="1"/>
        <v>254228.1999999999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19843.9</v>
      </c>
      <c r="C33" s="46">
        <v>67303.3</v>
      </c>
      <c r="D33" s="50">
        <f>1839.2+34.8+165.7+1873.2+1.3+5.1+223.7+77.9+1834.7+29.7+171.2+8.4+128.8+239.3+79.6+50.8+1967+148.5+65.1+168.2+2+195+1854.2+111.8+11.9+51+73.3+98+192+131.2+1842+37.2+0.2+0.1+1.5</f>
        <v>13713.600000000002</v>
      </c>
      <c r="E33" s="3">
        <f>D33/D150*100</f>
        <v>3.5146774227031607</v>
      </c>
      <c r="F33" s="3">
        <f>D33/B33*100</f>
        <v>69.10738312529293</v>
      </c>
      <c r="G33" s="3">
        <f t="shared" si="0"/>
        <v>20.37582109643955</v>
      </c>
      <c r="H33" s="47">
        <f t="shared" si="2"/>
        <v>6130.299999999999</v>
      </c>
      <c r="I33" s="47">
        <f t="shared" si="1"/>
        <v>53589.7</v>
      </c>
    </row>
    <row r="34" spans="1:9" ht="18">
      <c r="A34" s="23" t="s">
        <v>3</v>
      </c>
      <c r="B34" s="42">
        <v>15131.4</v>
      </c>
      <c r="C34" s="43">
        <v>55535.9</v>
      </c>
      <c r="D34" s="44">
        <f>1743.2+1833.7+1830.2+1935.3+81+1854.2+129.9+1804.7+34.4+1.5</f>
        <v>11248.1</v>
      </c>
      <c r="E34" s="1">
        <f>D34/D33*100</f>
        <v>82.02149690817873</v>
      </c>
      <c r="F34" s="1">
        <f t="shared" si="3"/>
        <v>74.33614867097559</v>
      </c>
      <c r="G34" s="1">
        <f t="shared" si="0"/>
        <v>20.253745775255286</v>
      </c>
      <c r="H34" s="44">
        <f t="shared" si="2"/>
        <v>3883.2999999999993</v>
      </c>
      <c r="I34" s="44">
        <f t="shared" si="1"/>
        <v>44287.8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1590.4</v>
      </c>
      <c r="C36" s="43">
        <v>2945.3</v>
      </c>
      <c r="D36" s="44">
        <f>5.4+1.2+41.8+16.1+2.9+29.7+160.9+0.8+93.4+46.9+11.2+0.1+15.2+184.7+9.2+183.2+0.9+11.9+0.1</f>
        <v>815.6</v>
      </c>
      <c r="E36" s="1">
        <f>D36/D33*100</f>
        <v>5.947380702368451</v>
      </c>
      <c r="F36" s="1">
        <f t="shared" si="3"/>
        <v>51.28269617706237</v>
      </c>
      <c r="G36" s="1">
        <f t="shared" si="0"/>
        <v>27.69157640987336</v>
      </c>
      <c r="H36" s="44">
        <f t="shared" si="2"/>
        <v>774.8000000000001</v>
      </c>
      <c r="I36" s="44">
        <f t="shared" si="1"/>
        <v>2129.7000000000003</v>
      </c>
    </row>
    <row r="37" spans="1:9" s="37" customFormat="1" ht="18.75">
      <c r="A37" s="18" t="s">
        <v>7</v>
      </c>
      <c r="B37" s="51">
        <v>139</v>
      </c>
      <c r="C37" s="52">
        <v>856.1</v>
      </c>
      <c r="D37" s="53">
        <f>7.4+12.3+6.1</f>
        <v>25.800000000000004</v>
      </c>
      <c r="E37" s="17">
        <f>D37/D33*100</f>
        <v>0.18813440672033602</v>
      </c>
      <c r="F37" s="17">
        <f t="shared" si="3"/>
        <v>18.561151079136692</v>
      </c>
      <c r="G37" s="17">
        <f t="shared" si="0"/>
        <v>3.0136666277304056</v>
      </c>
      <c r="H37" s="53">
        <f t="shared" si="2"/>
        <v>113.19999999999999</v>
      </c>
      <c r="I37" s="53">
        <f t="shared" si="1"/>
        <v>830.3000000000001</v>
      </c>
    </row>
    <row r="38" spans="1:9" ht="18">
      <c r="A38" s="23" t="s">
        <v>14</v>
      </c>
      <c r="B38" s="42">
        <v>20.4</v>
      </c>
      <c r="C38" s="43">
        <v>80.8</v>
      </c>
      <c r="D38" s="43">
        <f>5.1+5.1+5.1</f>
        <v>15.299999999999999</v>
      </c>
      <c r="E38" s="1">
        <f>D38/D33*100</f>
        <v>0.11156807840392018</v>
      </c>
      <c r="F38" s="1">
        <f t="shared" si="3"/>
        <v>75</v>
      </c>
      <c r="G38" s="1">
        <f t="shared" si="0"/>
        <v>18.935643564356436</v>
      </c>
      <c r="H38" s="44">
        <f t="shared" si="2"/>
        <v>5.1</v>
      </c>
      <c r="I38" s="44">
        <f t="shared" si="1"/>
        <v>65.5</v>
      </c>
    </row>
    <row r="39" spans="1:9" ht="18.75" thickBot="1">
      <c r="A39" s="23" t="s">
        <v>28</v>
      </c>
      <c r="B39" s="42">
        <f>B33-B34-B36-B37-B35-B38</f>
        <v>2962.7000000000016</v>
      </c>
      <c r="C39" s="42">
        <f>C33-C34-C36-C37-C35-C38</f>
        <v>7885.200000000002</v>
      </c>
      <c r="D39" s="42">
        <f>D33-D34-D36-D37-D35-D38</f>
        <v>1608.800000000002</v>
      </c>
      <c r="E39" s="1">
        <f>D39/D33*100</f>
        <v>11.731419904328561</v>
      </c>
      <c r="F39" s="1">
        <f t="shared" si="3"/>
        <v>54.30181928646171</v>
      </c>
      <c r="G39" s="1">
        <f t="shared" si="0"/>
        <v>20.402779891442215</v>
      </c>
      <c r="H39" s="44">
        <f>B39-D39</f>
        <v>1353.8999999999996</v>
      </c>
      <c r="I39" s="44">
        <f t="shared" si="1"/>
        <v>6276.4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721.4</v>
      </c>
      <c r="C43" s="46">
        <f>1548.6+6.6+21.9</f>
        <v>1577.1</v>
      </c>
      <c r="D43" s="47">
        <f>29.1+22+50.2+8.1+0.6+111.5+89.2+3+14.7+7.1+8.4+11.5+17.6+100.3+27.2+6.2-0.1</f>
        <v>506.59999999999997</v>
      </c>
      <c r="E43" s="3">
        <f>D43/D150*100</f>
        <v>0.12983721140629892</v>
      </c>
      <c r="F43" s="3">
        <f>D43/B43*100</f>
        <v>70.22456334904352</v>
      </c>
      <c r="G43" s="3">
        <f t="shared" si="0"/>
        <v>32.12224969881428</v>
      </c>
      <c r="H43" s="47">
        <f t="shared" si="2"/>
        <v>214.8</v>
      </c>
      <c r="I43" s="47">
        <f t="shared" si="1"/>
        <v>1070.5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4030.9</v>
      </c>
      <c r="C45" s="46">
        <v>11788</v>
      </c>
      <c r="D45" s="47">
        <f>102.9+155.5+3.1+3.7+452.3+6+17.2+314.1+59.3+95.2+2.2+579+1.9+71.6+375.2+7+7.3+568.3+0.1</f>
        <v>2821.9</v>
      </c>
      <c r="E45" s="3">
        <f>D45/D150*100</f>
        <v>0.7232286357430615</v>
      </c>
      <c r="F45" s="3">
        <f>D45/B45*100</f>
        <v>70.00669825597261</v>
      </c>
      <c r="G45" s="3">
        <f aca="true" t="shared" si="4" ref="G45:G76">D45/C45*100</f>
        <v>23.93875127248049</v>
      </c>
      <c r="H45" s="47">
        <f>B45-D45</f>
        <v>1209</v>
      </c>
      <c r="I45" s="47">
        <f aca="true" t="shared" si="5" ref="I45:I77">C45-D45</f>
        <v>8966.1</v>
      </c>
    </row>
    <row r="46" spans="1:9" ht="18">
      <c r="A46" s="23" t="s">
        <v>3</v>
      </c>
      <c r="B46" s="42">
        <v>3378.6</v>
      </c>
      <c r="C46" s="43">
        <v>10529.7</v>
      </c>
      <c r="D46" s="44">
        <f>102.7+154.9+447.3+314.1+572.1+284.8+559</f>
        <v>2434.9</v>
      </c>
      <c r="E46" s="1">
        <f>D46/D45*100</f>
        <v>86.28583578440058</v>
      </c>
      <c r="F46" s="1">
        <f aca="true" t="shared" si="6" ref="F46:F74">D46/B46*100</f>
        <v>72.0683123187119</v>
      </c>
      <c r="G46" s="1">
        <f t="shared" si="4"/>
        <v>23.12411559683562</v>
      </c>
      <c r="H46" s="44">
        <f aca="true" t="shared" si="7" ref="H46:H74">B46-D46</f>
        <v>943.6999999999998</v>
      </c>
      <c r="I46" s="44">
        <f t="shared" si="5"/>
        <v>8094.800000000001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24.4</v>
      </c>
      <c r="C48" s="43">
        <f>73.4+0.9</f>
        <v>74.30000000000001</v>
      </c>
      <c r="D48" s="44">
        <f>5.4+5.6</f>
        <v>11</v>
      </c>
      <c r="E48" s="1">
        <f>D48/D45*100</f>
        <v>0.38980828519791627</v>
      </c>
      <c r="F48" s="1">
        <f t="shared" si="6"/>
        <v>45.08196721311475</v>
      </c>
      <c r="G48" s="1">
        <f t="shared" si="4"/>
        <v>14.804845222072677</v>
      </c>
      <c r="H48" s="44">
        <f t="shared" si="7"/>
        <v>13.399999999999999</v>
      </c>
      <c r="I48" s="44">
        <f t="shared" si="5"/>
        <v>63.30000000000001</v>
      </c>
    </row>
    <row r="49" spans="1:9" ht="18">
      <c r="A49" s="23" t="s">
        <v>0</v>
      </c>
      <c r="B49" s="42">
        <v>529.5</v>
      </c>
      <c r="C49" s="43">
        <v>865.1</v>
      </c>
      <c r="D49" s="44">
        <f>3.1+3.5+1+0.7+59.3+95.2+2.2+6-0.1+53.5+89.7+6.2+7.2</f>
        <v>327.5</v>
      </c>
      <c r="E49" s="1">
        <f>D49/D45*100</f>
        <v>11.605655763847054</v>
      </c>
      <c r="F49" s="1">
        <f t="shared" si="6"/>
        <v>61.85080264400378</v>
      </c>
      <c r="G49" s="1">
        <f t="shared" si="4"/>
        <v>37.85689515662929</v>
      </c>
      <c r="H49" s="44">
        <f t="shared" si="7"/>
        <v>202</v>
      </c>
      <c r="I49" s="44">
        <f t="shared" si="5"/>
        <v>537.6</v>
      </c>
    </row>
    <row r="50" spans="1:9" ht="18.75" thickBot="1">
      <c r="A50" s="23" t="s">
        <v>28</v>
      </c>
      <c r="B50" s="43">
        <f>B45-B46-B49-B48-B47</f>
        <v>97.60000000000018</v>
      </c>
      <c r="C50" s="43">
        <f>C45-C46-C49-C48-C47</f>
        <v>317.49999999999926</v>
      </c>
      <c r="D50" s="43">
        <f>D45-D46-D49-D48-D47</f>
        <v>48.5</v>
      </c>
      <c r="E50" s="1">
        <f>D50/D45*100</f>
        <v>1.7187001665544492</v>
      </c>
      <c r="F50" s="1">
        <f t="shared" si="6"/>
        <v>49.69262295081958</v>
      </c>
      <c r="G50" s="1">
        <f t="shared" si="4"/>
        <v>15.275590551181137</v>
      </c>
      <c r="H50" s="44">
        <f t="shared" si="7"/>
        <v>49.10000000000018</v>
      </c>
      <c r="I50" s="44">
        <f t="shared" si="5"/>
        <v>268.99999999999926</v>
      </c>
    </row>
    <row r="51" spans="1:9" ht="18.75" thickBot="1">
      <c r="A51" s="22" t="s">
        <v>4</v>
      </c>
      <c r="B51" s="45">
        <v>8773.9</v>
      </c>
      <c r="C51" s="46">
        <f>23558.7+50+2250</f>
        <v>25858.7</v>
      </c>
      <c r="D51" s="47">
        <f>475.9+7.8+935.8+30.7-0.1+8+35.8+34+6+454.4+67.8+74.7+41.8+81.6+68+973+34+4.9+131.2+59.3+568.8+113.2+131.2+51.5+32.5+2.5+9+29.3+48.7+24.6+895.5+47.8</f>
        <v>5479.200000000001</v>
      </c>
      <c r="E51" s="3">
        <f>D51/D150*100</f>
        <v>1.4042717108910248</v>
      </c>
      <c r="F51" s="3">
        <f>D51/B51*100</f>
        <v>62.448853987394436</v>
      </c>
      <c r="G51" s="3">
        <f t="shared" si="4"/>
        <v>21.189000220428717</v>
      </c>
      <c r="H51" s="47">
        <f>B51-D51</f>
        <v>3294.699999999999</v>
      </c>
      <c r="I51" s="47">
        <f t="shared" si="5"/>
        <v>20379.5</v>
      </c>
    </row>
    <row r="52" spans="1:9" ht="18">
      <c r="A52" s="23" t="s">
        <v>3</v>
      </c>
      <c r="B52" s="42">
        <v>4709.5</v>
      </c>
      <c r="C52" s="43">
        <v>16189.8</v>
      </c>
      <c r="D52" s="44">
        <f>392.4+738.8+389.6+752.9+403.1+730.4</f>
        <v>3407.2</v>
      </c>
      <c r="E52" s="1">
        <f>D52/D51*100</f>
        <v>62.18426047598188</v>
      </c>
      <c r="F52" s="1">
        <f t="shared" si="6"/>
        <v>72.34738294935768</v>
      </c>
      <c r="G52" s="1">
        <f t="shared" si="4"/>
        <v>21.045349541069065</v>
      </c>
      <c r="H52" s="44">
        <f t="shared" si="7"/>
        <v>1302.3000000000002</v>
      </c>
      <c r="I52" s="44">
        <f t="shared" si="5"/>
        <v>12782.599999999999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278.5</v>
      </c>
      <c r="C54" s="43">
        <v>810.2</v>
      </c>
      <c r="D54" s="44">
        <f>1.9+1.9+0.5+7.4+2.1+1.2+12.9+5.1+0.1+4.5+16.8+19.2+9.7+3.1+1.1+1.4+2.5+5.7+19.9+0.8</f>
        <v>117.8</v>
      </c>
      <c r="E54" s="1">
        <f>D54/D51*100</f>
        <v>2.1499488976492915</v>
      </c>
      <c r="F54" s="1">
        <f t="shared" si="6"/>
        <v>42.298025134649905</v>
      </c>
      <c r="G54" s="1">
        <f t="shared" si="4"/>
        <v>14.539619846951368</v>
      </c>
      <c r="H54" s="44">
        <f t="shared" si="7"/>
        <v>160.7</v>
      </c>
      <c r="I54" s="44">
        <f t="shared" si="5"/>
        <v>692.4000000000001</v>
      </c>
    </row>
    <row r="55" spans="1:9" ht="18">
      <c r="A55" s="23" t="s">
        <v>0</v>
      </c>
      <c r="B55" s="42">
        <v>617.4</v>
      </c>
      <c r="C55" s="43">
        <v>1048.5</v>
      </c>
      <c r="D55" s="44">
        <f>0.5+0.6+7.5+73.9+2.1+51.2+20.8+16.3+5.9+0.4+16.8+14.9+10.4+71.4+0.3+1.2+1.4+16+1.2+0.1</f>
        <v>312.90000000000003</v>
      </c>
      <c r="E55" s="1">
        <f>D55/D51*100</f>
        <v>5.710687691633815</v>
      </c>
      <c r="F55" s="1">
        <f t="shared" si="6"/>
        <v>50.680272108843546</v>
      </c>
      <c r="G55" s="1">
        <f t="shared" si="4"/>
        <v>29.84263233190272</v>
      </c>
      <c r="H55" s="44">
        <f t="shared" si="7"/>
        <v>304.49999999999994</v>
      </c>
      <c r="I55" s="44">
        <f t="shared" si="5"/>
        <v>735.5999999999999</v>
      </c>
    </row>
    <row r="56" spans="1:9" ht="18">
      <c r="A56" s="23" t="s">
        <v>14</v>
      </c>
      <c r="B56" s="42">
        <v>173</v>
      </c>
      <c r="C56" s="43">
        <v>518.9</v>
      </c>
      <c r="D56" s="43">
        <f>34+46+40</f>
        <v>120</v>
      </c>
      <c r="E56" s="1">
        <f>D56/D51*100</f>
        <v>2.190100744634253</v>
      </c>
      <c r="F56" s="1">
        <f>D56/B56*100</f>
        <v>69.36416184971098</v>
      </c>
      <c r="G56" s="1">
        <f>D56/C56*100</f>
        <v>23.125843129697436</v>
      </c>
      <c r="H56" s="44">
        <f t="shared" si="7"/>
        <v>53</v>
      </c>
      <c r="I56" s="44">
        <f t="shared" si="5"/>
        <v>398.9</v>
      </c>
    </row>
    <row r="57" spans="1:9" ht="18.75" thickBot="1">
      <c r="A57" s="23" t="s">
        <v>28</v>
      </c>
      <c r="B57" s="43">
        <f>B51-B52-B55-B54-B53-B56</f>
        <v>2995.4999999999995</v>
      </c>
      <c r="C57" s="43">
        <f>C51-C52-C55-C54-C53-C56</f>
        <v>7278.300000000002</v>
      </c>
      <c r="D57" s="43">
        <f>D51-D52-D55-D54-D53-D56</f>
        <v>1521.3000000000009</v>
      </c>
      <c r="E57" s="1">
        <f>D57/D51*100</f>
        <v>27.765002190100756</v>
      </c>
      <c r="F57" s="1">
        <f t="shared" si="6"/>
        <v>50.78617926890339</v>
      </c>
      <c r="G57" s="1">
        <f t="shared" si="4"/>
        <v>20.901858950579125</v>
      </c>
      <c r="H57" s="44">
        <f>B57-D57</f>
        <v>1474.1999999999987</v>
      </c>
      <c r="I57" s="44">
        <f>C57-D57</f>
        <v>5757.000000000001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1401.8</v>
      </c>
      <c r="C59" s="46">
        <f>7844.6+200</f>
        <v>8044.6</v>
      </c>
      <c r="D59" s="47">
        <f>55.6+0.2+146.1+0.4+60.8+0.4+59.3+73.6+0.1+18.6+1.9+67.3+0.4+57.5+0.6+144.6-4.5</f>
        <v>682.9000000000001</v>
      </c>
      <c r="E59" s="3">
        <f>D59/D150*100</f>
        <v>0.17502138110809623</v>
      </c>
      <c r="F59" s="3">
        <f>D59/B59*100</f>
        <v>48.71593665287488</v>
      </c>
      <c r="G59" s="3">
        <f t="shared" si="4"/>
        <v>8.488924247321185</v>
      </c>
      <c r="H59" s="47">
        <f>B59-D59</f>
        <v>718.8999999999999</v>
      </c>
      <c r="I59" s="47">
        <f t="shared" si="5"/>
        <v>7361.700000000001</v>
      </c>
    </row>
    <row r="60" spans="1:9" ht="18">
      <c r="A60" s="23" t="s">
        <v>3</v>
      </c>
      <c r="B60" s="42">
        <v>942.8</v>
      </c>
      <c r="C60" s="43">
        <v>2900.3</v>
      </c>
      <c r="D60" s="44">
        <f>55.6+146.1+60.8+59.3+73.6+0.1+67.3+144.6-4.5</f>
        <v>602.9</v>
      </c>
      <c r="E60" s="1">
        <f>D60/D59*100</f>
        <v>88.28525406355247</v>
      </c>
      <c r="F60" s="1">
        <f t="shared" si="6"/>
        <v>63.94781501909207</v>
      </c>
      <c r="G60" s="1">
        <f t="shared" si="4"/>
        <v>20.78750474088887</v>
      </c>
      <c r="H60" s="44">
        <f t="shared" si="7"/>
        <v>339.9</v>
      </c>
      <c r="I60" s="44">
        <f t="shared" si="5"/>
        <v>2297.4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231.8</v>
      </c>
      <c r="C62" s="43">
        <v>451.8</v>
      </c>
      <c r="D62" s="44">
        <f>0.4+18.6+55.1+0.5</f>
        <v>74.6</v>
      </c>
      <c r="E62" s="1">
        <f>D62/D59*100</f>
        <v>10.924000585737295</v>
      </c>
      <c r="F62" s="1">
        <f t="shared" si="6"/>
        <v>32.18291630716134</v>
      </c>
      <c r="G62" s="1">
        <f t="shared" si="4"/>
        <v>16.511730854360334</v>
      </c>
      <c r="H62" s="44">
        <f t="shared" si="7"/>
        <v>157.20000000000002</v>
      </c>
      <c r="I62" s="44">
        <f t="shared" si="5"/>
        <v>377.20000000000005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227.2</v>
      </c>
      <c r="C64" s="43">
        <f>C59-C60-C62-C63-C61</f>
        <v>648.3000000000001</v>
      </c>
      <c r="D64" s="43">
        <f>D59-D60-D62-D63-D61</f>
        <v>5.400000000000119</v>
      </c>
      <c r="E64" s="1">
        <f>D64/D59*100</f>
        <v>0.7907453507102239</v>
      </c>
      <c r="F64" s="1">
        <f t="shared" si="6"/>
        <v>2.3767605633803344</v>
      </c>
      <c r="G64" s="1">
        <f t="shared" si="4"/>
        <v>0.8329477093938175</v>
      </c>
      <c r="H64" s="44">
        <f t="shared" si="7"/>
        <v>221.79999999999987</v>
      </c>
      <c r="I64" s="44">
        <f t="shared" si="5"/>
        <v>642.9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326.8</v>
      </c>
      <c r="C69" s="46">
        <f>C70+C71</f>
        <v>487.70000000000005</v>
      </c>
      <c r="D69" s="47">
        <f>SUM(D70:D71)</f>
        <v>216.79999999999995</v>
      </c>
      <c r="E69" s="35">
        <f>D69/D150*100</f>
        <v>0.05556397045575523</v>
      </c>
      <c r="F69" s="3">
        <f>D69/B69*100</f>
        <v>66.34026927784576</v>
      </c>
      <c r="G69" s="3">
        <f t="shared" si="4"/>
        <v>44.45355751486568</v>
      </c>
      <c r="H69" s="47">
        <f>B69-D69</f>
        <v>110.00000000000006</v>
      </c>
      <c r="I69" s="47">
        <f t="shared" si="5"/>
        <v>270.9000000000001</v>
      </c>
    </row>
    <row r="70" spans="1:9" ht="18">
      <c r="A70" s="23" t="s">
        <v>8</v>
      </c>
      <c r="B70" s="42">
        <v>286.5</v>
      </c>
      <c r="C70" s="43">
        <f>289</f>
        <v>289</v>
      </c>
      <c r="D70" s="44">
        <f>19.2+1.5+170.6+1.2+17.7+0.1</f>
        <v>210.29999999999995</v>
      </c>
      <c r="E70" s="1">
        <f>D70/D69*100</f>
        <v>97.00184501845018</v>
      </c>
      <c r="F70" s="1">
        <f t="shared" si="6"/>
        <v>73.40314136125653</v>
      </c>
      <c r="G70" s="1">
        <f t="shared" si="4"/>
        <v>72.76816608996538</v>
      </c>
      <c r="H70" s="44">
        <f t="shared" si="7"/>
        <v>76.20000000000005</v>
      </c>
      <c r="I70" s="44">
        <f t="shared" si="5"/>
        <v>78.70000000000005</v>
      </c>
    </row>
    <row r="71" spans="1:9" ht="18.75" thickBot="1">
      <c r="A71" s="23" t="s">
        <v>9</v>
      </c>
      <c r="B71" s="42">
        <v>40.3</v>
      </c>
      <c r="C71" s="43">
        <f>267.3-68.6</f>
        <v>198.70000000000002</v>
      </c>
      <c r="D71" s="44">
        <f>6.5</f>
        <v>6.5</v>
      </c>
      <c r="E71" s="1">
        <f>D71/D70*100</f>
        <v>3.0908226343319076</v>
      </c>
      <c r="F71" s="1">
        <f t="shared" si="6"/>
        <v>16.12903225806452</v>
      </c>
      <c r="G71" s="1">
        <f t="shared" si="4"/>
        <v>3.271263210870659</v>
      </c>
      <c r="H71" s="44">
        <f t="shared" si="7"/>
        <v>33.8</v>
      </c>
      <c r="I71" s="44">
        <f t="shared" si="5"/>
        <v>192.20000000000002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3233.3</v>
      </c>
      <c r="C77" s="62">
        <f>10000-100</f>
        <v>9900</v>
      </c>
      <c r="D77" s="63"/>
      <c r="E77" s="41"/>
      <c r="F77" s="41"/>
      <c r="G77" s="41"/>
      <c r="H77" s="63">
        <f>B77-D77</f>
        <v>3233.3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55151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</f>
        <v>21790.399999999998</v>
      </c>
      <c r="E90" s="3">
        <f>D90/D150*100</f>
        <v>5.584691613556684</v>
      </c>
      <c r="F90" s="3">
        <f aca="true" t="shared" si="10" ref="F90:F96">D90/B90*100</f>
        <v>39.51043498757955</v>
      </c>
      <c r="G90" s="3">
        <f t="shared" si="8"/>
        <v>13.794884780957203</v>
      </c>
      <c r="H90" s="47">
        <f aca="true" t="shared" si="11" ref="H90:H96">B90-D90</f>
        <v>33360.600000000006</v>
      </c>
      <c r="I90" s="47">
        <f t="shared" si="9"/>
        <v>136169.6</v>
      </c>
    </row>
    <row r="91" spans="1:9" ht="18">
      <c r="A91" s="23" t="s">
        <v>3</v>
      </c>
      <c r="B91" s="42">
        <v>50590.6</v>
      </c>
      <c r="C91" s="43">
        <v>148246.2</v>
      </c>
      <c r="D91" s="44">
        <f>1016.5+861.2+216.8+0.1+15.6+1633.8+1584.8+610.3+2+34.8+60.4+677.1+1434.4+388.2+14.5+46.2+0.1+225.9+1690.4+1880.4+5.7+23.4+14.2+309.4+627.8+1876.2+1.4+2.8+20.2+321.2+999.1+1596.9+1340.8</f>
        <v>19532.600000000002</v>
      </c>
      <c r="E91" s="1">
        <f>D91/D90*100</f>
        <v>89.638556428519</v>
      </c>
      <c r="F91" s="1">
        <f t="shared" si="10"/>
        <v>38.60914873514052</v>
      </c>
      <c r="G91" s="1">
        <f t="shared" si="8"/>
        <v>13.175784606957885</v>
      </c>
      <c r="H91" s="44">
        <f t="shared" si="11"/>
        <v>31057.999999999996</v>
      </c>
      <c r="I91" s="44">
        <f t="shared" si="9"/>
        <v>128713.6</v>
      </c>
    </row>
    <row r="92" spans="1:9" ht="18">
      <c r="A92" s="23" t="s">
        <v>26</v>
      </c>
      <c r="B92" s="42">
        <v>1511.5</v>
      </c>
      <c r="C92" s="43">
        <v>2620.6</v>
      </c>
      <c r="D92" s="44">
        <f>48.5+5.1+5+1.3+22.8+67.3+62.7+3.5+1.4+40.6+112.7+571.4+55.5+1.7</f>
        <v>999.5</v>
      </c>
      <c r="E92" s="1">
        <f>D92/D90*100</f>
        <v>4.586882296791249</v>
      </c>
      <c r="F92" s="1">
        <f t="shared" si="10"/>
        <v>66.12636453853787</v>
      </c>
      <c r="G92" s="1">
        <f t="shared" si="8"/>
        <v>38.14012058307258</v>
      </c>
      <c r="H92" s="44">
        <f t="shared" si="11"/>
        <v>512</v>
      </c>
      <c r="I92" s="44">
        <f t="shared" si="9"/>
        <v>1621.1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3048.9000000000015</v>
      </c>
      <c r="C94" s="43">
        <f>C90-C91-C92-C93</f>
        <v>7093.199999999988</v>
      </c>
      <c r="D94" s="43">
        <f>D90-D91-D92-D93</f>
        <v>1258.2999999999956</v>
      </c>
      <c r="E94" s="1">
        <f>D94/D90*100</f>
        <v>5.774561274689752</v>
      </c>
      <c r="F94" s="1">
        <f t="shared" si="10"/>
        <v>41.270622191609924</v>
      </c>
      <c r="G94" s="1">
        <f>D94/C94*100</f>
        <v>17.739525179044687</v>
      </c>
      <c r="H94" s="44">
        <f t="shared" si="11"/>
        <v>1790.6000000000058</v>
      </c>
      <c r="I94" s="44">
        <f>C94-D94</f>
        <v>5834.899999999992</v>
      </c>
    </row>
    <row r="95" spans="1:9" ht="18.75">
      <c r="A95" s="108" t="s">
        <v>12</v>
      </c>
      <c r="B95" s="111">
        <v>23935.4</v>
      </c>
      <c r="C95" s="113">
        <v>59880.5</v>
      </c>
      <c r="D95" s="112">
        <f>158.8+434.4+321.9+32+1220.1+1621.7+82.6+1043.7+489.5+1835.3+427.5+91.3+190+524+63.3+11.3+68.3+293.9+953+327.8+2372.9+1+6.8+217.3+273.2+68.3-0.1+331.5+504+66.1+441.2+942.7</f>
        <v>15415.299999999996</v>
      </c>
      <c r="E95" s="107">
        <f>D95/D150*100</f>
        <v>3.9508084583330425</v>
      </c>
      <c r="F95" s="110">
        <f t="shared" si="10"/>
        <v>64.40377014798163</v>
      </c>
      <c r="G95" s="106">
        <f>D95/C95*100</f>
        <v>25.74343901604027</v>
      </c>
      <c r="H95" s="112">
        <f t="shared" si="11"/>
        <v>8520.100000000006</v>
      </c>
      <c r="I95" s="122">
        <f>C95-D95</f>
        <v>44465.200000000004</v>
      </c>
    </row>
    <row r="96" spans="1:9" ht="18.75" thickBot="1">
      <c r="A96" s="109" t="s">
        <v>85</v>
      </c>
      <c r="B96" s="114">
        <v>3599.7</v>
      </c>
      <c r="C96" s="115">
        <f>10660.3-133.5</f>
        <v>10526.8</v>
      </c>
      <c r="D96" s="116">
        <f>69.1+1043.7+68.3+1051.8+1+68.3+66.1</f>
        <v>2368.2999999999997</v>
      </c>
      <c r="E96" s="117">
        <f>D96/D95*100</f>
        <v>15.363307882428497</v>
      </c>
      <c r="F96" s="118">
        <f t="shared" si="10"/>
        <v>65.7915937439231</v>
      </c>
      <c r="G96" s="119">
        <f>D96/C96*100</f>
        <v>22.497815100505374</v>
      </c>
      <c r="H96" s="123">
        <f t="shared" si="11"/>
        <v>1231.4</v>
      </c>
      <c r="I96" s="124">
        <f>C96-D96</f>
        <v>8158.5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f>4732.6-116</f>
        <v>4616.6</v>
      </c>
      <c r="C102" s="92">
        <f>12999.2-348+46.7</f>
        <v>12697.900000000001</v>
      </c>
      <c r="D102" s="79">
        <f>139.4+4+202+15.3+32.9+18.1+0.4+4+39.7+141.6+9.9+31.3+27.6+1.1+399+127.2+7.6+63.2+113+70.6+140+195.7+6.2+179.8+200.1+39.2+404.4+43.9+5.5</f>
        <v>2662.7</v>
      </c>
      <c r="E102" s="19">
        <f>D102/D150*100</f>
        <v>0.6824270485818242</v>
      </c>
      <c r="F102" s="19">
        <f>D102/B102*100</f>
        <v>57.67664515011046</v>
      </c>
      <c r="G102" s="19">
        <f aca="true" t="shared" si="12" ref="G102:G148">D102/C102*100</f>
        <v>20.969609147969344</v>
      </c>
      <c r="H102" s="79">
        <f aca="true" t="shared" si="13" ref="H102:H107">B102-D102</f>
        <v>1953.9000000000005</v>
      </c>
      <c r="I102" s="79">
        <f aca="true" t="shared" si="14" ref="I102:I148">C102-D102</f>
        <v>10035.2</v>
      </c>
    </row>
    <row r="103" spans="1:9" ht="18">
      <c r="A103" s="23" t="s">
        <v>3</v>
      </c>
      <c r="B103" s="89">
        <v>70.9</v>
      </c>
      <c r="C103" s="87">
        <v>259.1</v>
      </c>
      <c r="D103" s="87">
        <f>17.3</f>
        <v>17.3</v>
      </c>
      <c r="E103" s="83">
        <f>D103/D102*100</f>
        <v>0.649716453224171</v>
      </c>
      <c r="F103" s="1">
        <f>D103/B103*100</f>
        <v>24.400564174894214</v>
      </c>
      <c r="G103" s="83">
        <f>D103/C103*100</f>
        <v>6.676958703203397</v>
      </c>
      <c r="H103" s="87">
        <f t="shared" si="13"/>
        <v>53.60000000000001</v>
      </c>
      <c r="I103" s="87">
        <f t="shared" si="14"/>
        <v>241.8</v>
      </c>
    </row>
    <row r="104" spans="1:9" ht="18">
      <c r="A104" s="85" t="s">
        <v>49</v>
      </c>
      <c r="B104" s="74">
        <f>3963.7-116</f>
        <v>3847.7</v>
      </c>
      <c r="C104" s="44">
        <f>10720.8-348+46.7</f>
        <v>10419.5</v>
      </c>
      <c r="D104" s="44">
        <f>139.3+4+202+15.3-0.1+4+25.4+141.4+9.8+31.2+1.1+390.1+50+2+0.1+51.6+111.9+69.9+132+193.8+143.3+175.1+39.1+393+24.9</f>
        <v>2350.2000000000003</v>
      </c>
      <c r="E104" s="1">
        <f>D104/D102*100</f>
        <v>88.2637923911819</v>
      </c>
      <c r="F104" s="1">
        <f aca="true" t="shared" si="15" ref="F104:F148">D104/B104*100</f>
        <v>61.080645580476656</v>
      </c>
      <c r="G104" s="1">
        <f t="shared" si="12"/>
        <v>22.555784826527187</v>
      </c>
      <c r="H104" s="44">
        <f t="shared" si="13"/>
        <v>1497.4999999999995</v>
      </c>
      <c r="I104" s="44">
        <f t="shared" si="14"/>
        <v>8069.299999999999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698.0000000000009</v>
      </c>
      <c r="C106" s="88">
        <f>C102-C103-C104</f>
        <v>2019.300000000001</v>
      </c>
      <c r="D106" s="88">
        <f>D102-D103-D104</f>
        <v>295.19999999999936</v>
      </c>
      <c r="E106" s="84">
        <f>D106/D102*100</f>
        <v>11.086491155593922</v>
      </c>
      <c r="F106" s="84">
        <f t="shared" si="15"/>
        <v>42.29226361031504</v>
      </c>
      <c r="G106" s="84">
        <f t="shared" si="12"/>
        <v>14.618927351062212</v>
      </c>
      <c r="H106" s="124">
        <f>B106-D106</f>
        <v>402.80000000000155</v>
      </c>
      <c r="I106" s="124">
        <f t="shared" si="14"/>
        <v>1724.1000000000017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121005.79999999999</v>
      </c>
      <c r="C107" s="81">
        <f>SUM(C108:C147)-C115-C119+C148-C139-C140-C109-C112-C122-C123-C137-C131-C129</f>
        <v>552976.9999999999</v>
      </c>
      <c r="D107" s="81">
        <f>SUM(D108:D147)-D115-D119+D148-D139-D140-D109-D112-D122-D123-D137-D131-D129</f>
        <v>79225.09999999999</v>
      </c>
      <c r="E107" s="82">
        <f>D107/D150*100</f>
        <v>20.304709943515935</v>
      </c>
      <c r="F107" s="82">
        <f>D107/B107*100</f>
        <v>65.47215092169135</v>
      </c>
      <c r="G107" s="82">
        <f t="shared" si="12"/>
        <v>14.327015409320824</v>
      </c>
      <c r="H107" s="81">
        <f t="shared" si="13"/>
        <v>41780.7</v>
      </c>
      <c r="I107" s="81">
        <f t="shared" si="14"/>
        <v>473751.8999999999</v>
      </c>
    </row>
    <row r="108" spans="1:9" ht="37.5">
      <c r="A108" s="28" t="s">
        <v>53</v>
      </c>
      <c r="B108" s="71">
        <v>1836.9</v>
      </c>
      <c r="C108" s="67">
        <v>4095.6</v>
      </c>
      <c r="D108" s="72">
        <f>12.6+3.2+110.8+149.9+0.1+86+66+19.9+30.9+1.3+4.4+3.9+8.5+1.6+0.1</f>
        <v>499.2</v>
      </c>
      <c r="E108" s="6">
        <f>D108/D107*100</f>
        <v>0.6301033384621794</v>
      </c>
      <c r="F108" s="6">
        <f t="shared" si="15"/>
        <v>27.176220806794056</v>
      </c>
      <c r="G108" s="6">
        <f t="shared" si="12"/>
        <v>12.188690301787283</v>
      </c>
      <c r="H108" s="61">
        <f aca="true" t="shared" si="16" ref="H108:H148">B108-D108</f>
        <v>1337.7</v>
      </c>
      <c r="I108" s="61">
        <f t="shared" si="14"/>
        <v>3596.4</v>
      </c>
    </row>
    <row r="109" spans="1:9" ht="18">
      <c r="A109" s="23" t="s">
        <v>26</v>
      </c>
      <c r="B109" s="74">
        <v>1293.4</v>
      </c>
      <c r="C109" s="44">
        <v>2633.8</v>
      </c>
      <c r="D109" s="75">
        <f>68.3+138.7+47.8+60.9+18.1+30</f>
        <v>363.8</v>
      </c>
      <c r="E109" s="1">
        <f>D109/D108*100</f>
        <v>72.87660256410257</v>
      </c>
      <c r="F109" s="1">
        <f t="shared" si="15"/>
        <v>28.127416112571517</v>
      </c>
      <c r="G109" s="1">
        <f t="shared" si="12"/>
        <v>13.812742045713417</v>
      </c>
      <c r="H109" s="44">
        <f t="shared" si="16"/>
        <v>929.6000000000001</v>
      </c>
      <c r="I109" s="44">
        <f t="shared" si="14"/>
        <v>2270</v>
      </c>
    </row>
    <row r="110" spans="1:9" ht="34.5" customHeight="1">
      <c r="A110" s="16" t="s">
        <v>80</v>
      </c>
      <c r="B110" s="73">
        <v>447.7</v>
      </c>
      <c r="C110" s="61">
        <v>1175.4</v>
      </c>
      <c r="D110" s="72">
        <f>11.8</f>
        <v>11.8</v>
      </c>
      <c r="E110" s="6">
        <f>D110/D107*100</f>
        <v>0.014894269619097992</v>
      </c>
      <c r="F110" s="6">
        <f>D110/B110*100</f>
        <v>2.6356935447844543</v>
      </c>
      <c r="G110" s="6">
        <f t="shared" si="12"/>
        <v>1.00391356134082</v>
      </c>
      <c r="H110" s="61">
        <f t="shared" si="16"/>
        <v>435.9</v>
      </c>
      <c r="I110" s="61">
        <f t="shared" si="14"/>
        <v>1163.6000000000001</v>
      </c>
    </row>
    <row r="111" spans="1:9" s="37" customFormat="1" ht="34.5" customHeight="1">
      <c r="A111" s="16" t="s">
        <v>100</v>
      </c>
      <c r="B111" s="73">
        <v>146.7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146.7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33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33</v>
      </c>
      <c r="I113" s="61">
        <f t="shared" si="14"/>
        <v>60</v>
      </c>
    </row>
    <row r="114" spans="1:9" ht="37.5">
      <c r="A114" s="16" t="s">
        <v>39</v>
      </c>
      <c r="B114" s="73">
        <v>1112.1</v>
      </c>
      <c r="C114" s="61">
        <v>2915.4</v>
      </c>
      <c r="D114" s="72">
        <f>136.4+40+10+2+0.1+10.6+142+54.3+10.6+6.6+21.9+41.3+8.2+239.5+0.2</f>
        <v>723.7</v>
      </c>
      <c r="E114" s="6">
        <f>D114/D107*100</f>
        <v>0.9134731290967133</v>
      </c>
      <c r="F114" s="6">
        <f t="shared" si="15"/>
        <v>65.07508317597339</v>
      </c>
      <c r="G114" s="6">
        <f t="shared" si="12"/>
        <v>24.82335185566303</v>
      </c>
      <c r="H114" s="61">
        <f t="shared" si="16"/>
        <v>388.39999999999986</v>
      </c>
      <c r="I114" s="61">
        <f t="shared" si="14"/>
        <v>2191.7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180.8</v>
      </c>
      <c r="C118" s="53">
        <v>422.8</v>
      </c>
      <c r="D118" s="72">
        <f>39+5+6.2+39.1+4.9+0.4+0.8+39+0.1</f>
        <v>134.50000000000003</v>
      </c>
      <c r="E118" s="6">
        <f>D118/D107*100</f>
        <v>0.169769429132939</v>
      </c>
      <c r="F118" s="6">
        <f t="shared" si="15"/>
        <v>74.39159292035399</v>
      </c>
      <c r="G118" s="6">
        <f t="shared" si="12"/>
        <v>31.81173131504258</v>
      </c>
      <c r="H118" s="61">
        <f t="shared" si="16"/>
        <v>46.29999999999998</v>
      </c>
      <c r="I118" s="61">
        <f t="shared" si="14"/>
        <v>288.29999999999995</v>
      </c>
    </row>
    <row r="119" spans="1:9" s="32" customFormat="1" ht="18">
      <c r="A119" s="33" t="s">
        <v>44</v>
      </c>
      <c r="B119" s="74">
        <v>156.2</v>
      </c>
      <c r="C119" s="44">
        <v>351.4</v>
      </c>
      <c r="D119" s="75">
        <f>39+39.1+39</f>
        <v>117.1</v>
      </c>
      <c r="E119" s="1">
        <f>D119/D118*100</f>
        <v>87.0631970260223</v>
      </c>
      <c r="F119" s="1">
        <f t="shared" si="15"/>
        <v>74.96798975672215</v>
      </c>
      <c r="G119" s="1">
        <f t="shared" si="12"/>
        <v>33.323847467273765</v>
      </c>
      <c r="H119" s="44">
        <f t="shared" si="16"/>
        <v>39.099999999999994</v>
      </c>
      <c r="I119" s="44">
        <f t="shared" si="14"/>
        <v>234.29999999999998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v>14692.1</v>
      </c>
      <c r="C124" s="53">
        <f>33585.8+9933.2</f>
        <v>43519</v>
      </c>
      <c r="D124" s="76">
        <f>3483.8+2635.6+1853.3+812.9+1333.3</f>
        <v>10118.9</v>
      </c>
      <c r="E124" s="17">
        <f>D124/D107*100</f>
        <v>12.77234108887209</v>
      </c>
      <c r="F124" s="6">
        <f t="shared" si="15"/>
        <v>68.87306783917887</v>
      </c>
      <c r="G124" s="6">
        <f t="shared" si="12"/>
        <v>23.251683172867022</v>
      </c>
      <c r="H124" s="61">
        <f t="shared" si="16"/>
        <v>4573.200000000001</v>
      </c>
      <c r="I124" s="61">
        <f t="shared" si="14"/>
        <v>33400.1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0.012622262389066092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563.7</v>
      </c>
      <c r="C128" s="53">
        <v>1253.3</v>
      </c>
      <c r="D128" s="76">
        <f>6.5+6.7+0.9+10.2+6.4+2.4+29+2.5+26.7+1.1+7.5+20.9+3.3+0.1</f>
        <v>124.19999999999997</v>
      </c>
      <c r="E128" s="17">
        <f>D128/D107*100</f>
        <v>0.15676849887220082</v>
      </c>
      <c r="F128" s="6">
        <f t="shared" si="15"/>
        <v>22.03299627461415</v>
      </c>
      <c r="G128" s="6">
        <f t="shared" si="12"/>
        <v>9.909838027607115</v>
      </c>
      <c r="H128" s="61">
        <f t="shared" si="16"/>
        <v>439.50000000000006</v>
      </c>
      <c r="I128" s="61">
        <f t="shared" si="14"/>
        <v>1129.1</v>
      </c>
    </row>
    <row r="129" spans="1:9" s="32" customFormat="1" ht="18">
      <c r="A129" s="23" t="s">
        <v>90</v>
      </c>
      <c r="B129" s="74">
        <v>115.6</v>
      </c>
      <c r="C129" s="44">
        <v>459.6</v>
      </c>
      <c r="D129" s="75">
        <f>6.4+6.4+6.4</f>
        <v>19.200000000000003</v>
      </c>
      <c r="E129" s="1">
        <f>D129/D128*100</f>
        <v>15.458937198067638</v>
      </c>
      <c r="F129" s="1">
        <f>D129/B129*100</f>
        <v>16.60899653979239</v>
      </c>
      <c r="G129" s="1">
        <f t="shared" si="12"/>
        <v>4.177545691906006</v>
      </c>
      <c r="H129" s="44">
        <f t="shared" si="16"/>
        <v>96.39999999999999</v>
      </c>
      <c r="I129" s="44">
        <f t="shared" si="14"/>
        <v>440.40000000000003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36.1</v>
      </c>
      <c r="C134" s="53">
        <v>108.1</v>
      </c>
      <c r="D134" s="76">
        <f>3.8+10.3</f>
        <v>14.100000000000001</v>
      </c>
      <c r="E134" s="17">
        <f>D134/D107*100</f>
        <v>0.017797389968583193</v>
      </c>
      <c r="F134" s="6">
        <f t="shared" si="15"/>
        <v>39.05817174515236</v>
      </c>
      <c r="G134" s="6">
        <f t="shared" si="12"/>
        <v>13.043478260869568</v>
      </c>
      <c r="H134" s="61">
        <f t="shared" si="16"/>
        <v>22</v>
      </c>
      <c r="I134" s="61">
        <f t="shared" si="14"/>
        <v>94</v>
      </c>
    </row>
    <row r="135" spans="1:9" s="2" customFormat="1" ht="39" customHeight="1">
      <c r="A135" s="16" t="s">
        <v>56</v>
      </c>
      <c r="B135" s="73">
        <v>126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126</v>
      </c>
      <c r="I135" s="61">
        <f t="shared" si="14"/>
        <v>626.8</v>
      </c>
    </row>
    <row r="136" spans="1:9" s="2" customFormat="1" ht="37.5">
      <c r="A136" s="16" t="s">
        <v>86</v>
      </c>
      <c r="B136" s="73">
        <v>183.4</v>
      </c>
      <c r="C136" s="53">
        <v>381.2</v>
      </c>
      <c r="D136" s="76">
        <f>0.5+1.3+15.9+33.5+3+0.6+15.2+1.3+36.5</f>
        <v>107.8</v>
      </c>
      <c r="E136" s="17">
        <f>D136/D107*100</f>
        <v>0.1360679885541325</v>
      </c>
      <c r="F136" s="6">
        <f t="shared" si="15"/>
        <v>58.778625954198475</v>
      </c>
      <c r="G136" s="6">
        <f>D136/C136*100</f>
        <v>28.279118572927597</v>
      </c>
      <c r="H136" s="61">
        <f t="shared" si="16"/>
        <v>75.60000000000001</v>
      </c>
      <c r="I136" s="61">
        <f t="shared" si="14"/>
        <v>273.4</v>
      </c>
    </row>
    <row r="137" spans="1:9" s="32" customFormat="1" ht="18">
      <c r="A137" s="23" t="s">
        <v>26</v>
      </c>
      <c r="B137" s="74">
        <v>151.6</v>
      </c>
      <c r="C137" s="44">
        <v>306.1</v>
      </c>
      <c r="D137" s="75">
        <f>15.9+33.5+15.2+36.5</f>
        <v>101.1</v>
      </c>
      <c r="E137" s="1">
        <f>D137/D136*100</f>
        <v>93.7847866419295</v>
      </c>
      <c r="F137" s="1">
        <f t="shared" si="15"/>
        <v>66.688654353562</v>
      </c>
      <c r="G137" s="1">
        <f>D137/C137*100</f>
        <v>33.02842208428618</v>
      </c>
      <c r="H137" s="44">
        <f t="shared" si="16"/>
        <v>50.5</v>
      </c>
      <c r="I137" s="44">
        <f t="shared" si="14"/>
        <v>205.00000000000003</v>
      </c>
    </row>
    <row r="138" spans="1:9" s="2" customFormat="1" ht="18.75">
      <c r="A138" s="16" t="s">
        <v>103</v>
      </c>
      <c r="B138" s="73">
        <v>475.8</v>
      </c>
      <c r="C138" s="53">
        <v>1397.4</v>
      </c>
      <c r="D138" s="76">
        <f>26+59.9+0.4-0.1+0.1+27.3+5.8+57.7+6.3+46.3+13.6+50.5+6-0.1</f>
        <v>299.70000000000005</v>
      </c>
      <c r="E138" s="17">
        <f>D138/D107*100</f>
        <v>0.37828920380031084</v>
      </c>
      <c r="F138" s="6">
        <f t="shared" si="15"/>
        <v>62.98865069356874</v>
      </c>
      <c r="G138" s="6">
        <f t="shared" si="12"/>
        <v>21.446972949763847</v>
      </c>
      <c r="H138" s="61">
        <f t="shared" si="16"/>
        <v>176.09999999999997</v>
      </c>
      <c r="I138" s="61">
        <f t="shared" si="14"/>
        <v>1097.7</v>
      </c>
    </row>
    <row r="139" spans="1:9" s="32" customFormat="1" ht="18">
      <c r="A139" s="33" t="s">
        <v>44</v>
      </c>
      <c r="B139" s="74">
        <v>347.9</v>
      </c>
      <c r="C139" s="44">
        <v>1063.5</v>
      </c>
      <c r="D139" s="75">
        <f>26+59.9+27.3+57.1-0.1+46.3+42.7-0.1</f>
        <v>259.09999999999997</v>
      </c>
      <c r="E139" s="1">
        <f>D139/D138*100</f>
        <v>86.45311978645309</v>
      </c>
      <c r="F139" s="1">
        <f aca="true" t="shared" si="17" ref="F139:F147">D139/B139*100</f>
        <v>74.47542397240586</v>
      </c>
      <c r="G139" s="1">
        <f t="shared" si="12"/>
        <v>24.362952515279733</v>
      </c>
      <c r="H139" s="44">
        <f t="shared" si="16"/>
        <v>88.80000000000001</v>
      </c>
      <c r="I139" s="44">
        <f t="shared" si="14"/>
        <v>804.4000000000001</v>
      </c>
    </row>
    <row r="140" spans="1:9" s="32" customFormat="1" ht="18">
      <c r="A140" s="23" t="s">
        <v>26</v>
      </c>
      <c r="B140" s="74">
        <v>23.7</v>
      </c>
      <c r="C140" s="44">
        <v>37.5</v>
      </c>
      <c r="D140" s="75">
        <f>0.4+5.6+0.6+6+0.1</f>
        <v>12.7</v>
      </c>
      <c r="E140" s="1">
        <f>D140/D138*100</f>
        <v>4.23757090423757</v>
      </c>
      <c r="F140" s="1">
        <f t="shared" si="17"/>
        <v>53.58649789029536</v>
      </c>
      <c r="G140" s="1">
        <f>D140/C140*100</f>
        <v>33.86666666666667</v>
      </c>
      <c r="H140" s="44">
        <f t="shared" si="16"/>
        <v>11</v>
      </c>
      <c r="I140" s="44">
        <f t="shared" si="14"/>
        <v>24.8</v>
      </c>
    </row>
    <row r="141" spans="1:9" s="2" customFormat="1" ht="56.25">
      <c r="A141" s="18" t="s">
        <v>107</v>
      </c>
      <c r="B141" s="73">
        <v>0</v>
      </c>
      <c r="C141" s="53">
        <f>200+300</f>
        <v>500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500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v>22749.4</v>
      </c>
      <c r="C143" s="53">
        <f>67967+150-2500</f>
        <v>65617</v>
      </c>
      <c r="D143" s="76">
        <f>2189.1+2579.7+68.9+525.7+232.8+205.1+14+182+44.6+100.3+189.9+11.2+127+188.8+69.4+131.7+84.3+48.1+145.2+164.4+282.5+2057+0.1+4.7</f>
        <v>9646.5</v>
      </c>
      <c r="E143" s="17">
        <f>D143/D107*100</f>
        <v>12.176065413612607</v>
      </c>
      <c r="F143" s="99">
        <f t="shared" si="17"/>
        <v>42.403316131414456</v>
      </c>
      <c r="G143" s="6">
        <f t="shared" si="12"/>
        <v>14.701220720240183</v>
      </c>
      <c r="H143" s="61">
        <f t="shared" si="16"/>
        <v>13102.900000000001</v>
      </c>
      <c r="I143" s="61">
        <f t="shared" si="14"/>
        <v>55970.5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>
        <f>19.2</f>
        <v>19.2</v>
      </c>
      <c r="E145" s="17">
        <f>D145/D107*100</f>
        <v>0.024234743787006897</v>
      </c>
      <c r="F145" s="99">
        <f t="shared" si="17"/>
        <v>29.95319812792512</v>
      </c>
      <c r="G145" s="6">
        <f t="shared" si="12"/>
        <v>8.205128205128204</v>
      </c>
      <c r="H145" s="61">
        <f t="shared" si="16"/>
        <v>44.89999999999999</v>
      </c>
      <c r="I145" s="61">
        <f t="shared" si="14"/>
        <v>214.8</v>
      </c>
    </row>
    <row r="146" spans="1:12" s="2" customFormat="1" ht="18.75" customHeight="1">
      <c r="A146" s="16" t="s">
        <v>79</v>
      </c>
      <c r="B146" s="73">
        <v>3951.2</v>
      </c>
      <c r="C146" s="53">
        <v>10550.8</v>
      </c>
      <c r="D146" s="76">
        <f>1601.8+39.7+92.5+565.2+121.3</f>
        <v>2420.5</v>
      </c>
      <c r="E146" s="17">
        <f>D146/D107*100</f>
        <v>3.055218611273448</v>
      </c>
      <c r="F146" s="99">
        <f t="shared" si="17"/>
        <v>61.259870419113184</v>
      </c>
      <c r="G146" s="6">
        <f t="shared" si="12"/>
        <v>22.941388330742694</v>
      </c>
      <c r="H146" s="61">
        <f t="shared" si="16"/>
        <v>1530.6999999999998</v>
      </c>
      <c r="I146" s="61">
        <f t="shared" si="14"/>
        <v>8130.299999999999</v>
      </c>
      <c r="K146" s="38"/>
      <c r="L146" s="38"/>
    </row>
    <row r="147" spans="1:12" s="2" customFormat="1" ht="19.5" customHeight="1">
      <c r="A147" s="16" t="s">
        <v>51</v>
      </c>
      <c r="B147" s="73">
        <v>64186.8</v>
      </c>
      <c r="C147" s="53">
        <f>376354.8-1000+14285.9-198-200-300</f>
        <v>388942.7</v>
      </c>
      <c r="D147" s="76">
        <f>4905.7+9487.9+9000+1500+6413+155.4+2591.5+899.7+3383.3+1969.5+5413.3+1388+616.4</f>
        <v>47723.700000000004</v>
      </c>
      <c r="E147" s="17">
        <f>D147/D107*100</f>
        <v>60.23810635770735</v>
      </c>
      <c r="F147" s="6">
        <f t="shared" si="17"/>
        <v>74.35126848510909</v>
      </c>
      <c r="G147" s="6">
        <f t="shared" si="12"/>
        <v>12.270110738676932</v>
      </c>
      <c r="H147" s="61">
        <f t="shared" si="16"/>
        <v>16463.1</v>
      </c>
      <c r="I147" s="61">
        <f t="shared" si="14"/>
        <v>341219</v>
      </c>
      <c r="K147" s="91"/>
      <c r="L147" s="38"/>
    </row>
    <row r="148" spans="1:12" s="2" customFormat="1" ht="18.75">
      <c r="A148" s="16" t="s">
        <v>106</v>
      </c>
      <c r="B148" s="73">
        <v>9828.4</v>
      </c>
      <c r="C148" s="53">
        <v>29485.2</v>
      </c>
      <c r="D148" s="76">
        <f>819+819+819.1+819+819+819.1+819+819+819.1</f>
        <v>7371.3</v>
      </c>
      <c r="E148" s="17">
        <f>D148/D107*100</f>
        <v>9.30424827485229</v>
      </c>
      <c r="F148" s="6">
        <f t="shared" si="15"/>
        <v>75</v>
      </c>
      <c r="G148" s="6">
        <f t="shared" si="12"/>
        <v>25</v>
      </c>
      <c r="H148" s="61">
        <f t="shared" si="16"/>
        <v>2457.0999999999995</v>
      </c>
      <c r="I148" s="61">
        <f t="shared" si="14"/>
        <v>22113.9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129903.9</v>
      </c>
      <c r="C149" s="77">
        <f>C43+C69+C72+C77+C79+C87+C102+C107+C100+C84+C98</f>
        <v>577639.6999999998</v>
      </c>
      <c r="D149" s="53">
        <f>D43+D69+D72+D77+D79+D87+D102+D107+D100+D84+D98</f>
        <v>82611.2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603675.7000000001</v>
      </c>
      <c r="C150" s="47">
        <f>C6+C18+C33+C43+C51+C59+C69+C72+C77+C79+C87+C90+C95+C102+C107+C100+C84+C98+C45</f>
        <v>1879696.1999999997</v>
      </c>
      <c r="D150" s="47">
        <f>D6+D18+D33+D43+D51+D59+D69+D72+D77+D79+D87+D90+D95+D102+D107+D100+D84+D98+D45</f>
        <v>390180.90000000014</v>
      </c>
      <c r="E150" s="31">
        <v>100</v>
      </c>
      <c r="F150" s="3">
        <f>D150/B150*100</f>
        <v>64.63419017860087</v>
      </c>
      <c r="G150" s="3">
        <f aca="true" t="shared" si="18" ref="G150:G156">D150/C150*100</f>
        <v>20.757657540617476</v>
      </c>
      <c r="H150" s="47">
        <f aca="true" t="shared" si="19" ref="H150:H156">B150-D150</f>
        <v>213494.79999999993</v>
      </c>
      <c r="I150" s="47">
        <f aca="true" t="shared" si="20" ref="I150:I156">C150-D150</f>
        <v>1489515.2999999996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229022.6</v>
      </c>
      <c r="C151" s="60">
        <f>C8+C20+C34+C52+C60+C91+C115+C119+C46+C139+C131+C103</f>
        <v>722894.7</v>
      </c>
      <c r="D151" s="60">
        <f>D8+D20+D34+D52+D60+D91+D115+D119+D46+D139+D131+D103</f>
        <v>150964.6</v>
      </c>
      <c r="E151" s="6">
        <f>D151/D150*100</f>
        <v>38.69092515804847</v>
      </c>
      <c r="F151" s="6">
        <f aca="true" t="shared" si="21" ref="F151:F156">D151/B151*100</f>
        <v>65.91690077747786</v>
      </c>
      <c r="G151" s="6">
        <f t="shared" si="18"/>
        <v>20.883345804029275</v>
      </c>
      <c r="H151" s="61">
        <f t="shared" si="19"/>
        <v>78058</v>
      </c>
      <c r="I151" s="72">
        <f t="shared" si="20"/>
        <v>571930.1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54597.600000000006</v>
      </c>
      <c r="C152" s="61">
        <f>C11+C23+C36+C55+C62+C92+C49+C140+C109+C112+C96+C137</f>
        <v>102336.00000000003</v>
      </c>
      <c r="D152" s="61">
        <f>D11+D23+D36+D55+D62+D92+D49+D140+D109+D112+D96+D137</f>
        <v>36262</v>
      </c>
      <c r="E152" s="6">
        <f>D152/D150*100</f>
        <v>9.293637899753675</v>
      </c>
      <c r="F152" s="6">
        <f t="shared" si="21"/>
        <v>66.41683883540668</v>
      </c>
      <c r="G152" s="6">
        <f t="shared" si="18"/>
        <v>35.434255784865535</v>
      </c>
      <c r="H152" s="61">
        <f t="shared" si="19"/>
        <v>18335.600000000006</v>
      </c>
      <c r="I152" s="72">
        <f t="shared" si="20"/>
        <v>66074.00000000003</v>
      </c>
      <c r="K152" s="39"/>
      <c r="L152" s="90"/>
    </row>
    <row r="153" spans="1:12" ht="18.75">
      <c r="A153" s="18" t="s">
        <v>1</v>
      </c>
      <c r="B153" s="60">
        <f>B22+B10+B54+B48+B61+B35+B123</f>
        <v>11723.5</v>
      </c>
      <c r="C153" s="60">
        <f>C22+C10+C54+C48+C61+C35+C123</f>
        <v>28683.1</v>
      </c>
      <c r="D153" s="60">
        <f>D22+D10+D54+D48+D61+D35+D123</f>
        <v>7509.900000000001</v>
      </c>
      <c r="E153" s="6">
        <f>D153/D150*100</f>
        <v>1.9247226094357763</v>
      </c>
      <c r="F153" s="6">
        <f t="shared" si="21"/>
        <v>64.05851494860751</v>
      </c>
      <c r="G153" s="6">
        <f t="shared" si="18"/>
        <v>26.182316416286945</v>
      </c>
      <c r="H153" s="61">
        <f t="shared" si="19"/>
        <v>4213.599999999999</v>
      </c>
      <c r="I153" s="72">
        <f t="shared" si="20"/>
        <v>21173.199999999997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8911.7</v>
      </c>
      <c r="C154" s="60">
        <f>C12+C24+C104+C63+C38+C93+C129+C56</f>
        <v>29231.3</v>
      </c>
      <c r="D154" s="60">
        <f>D12+D24+D104+D63+D38+D93+D129+D56</f>
        <v>5844.1</v>
      </c>
      <c r="E154" s="6">
        <f>D154/D150*100</f>
        <v>1.4977924342273028</v>
      </c>
      <c r="F154" s="6">
        <f t="shared" si="21"/>
        <v>65.57783587867635</v>
      </c>
      <c r="G154" s="6">
        <f t="shared" si="18"/>
        <v>19.99261066049064</v>
      </c>
      <c r="H154" s="61">
        <f t="shared" si="19"/>
        <v>3067.6000000000004</v>
      </c>
      <c r="I154" s="72">
        <f t="shared" si="20"/>
        <v>23387.199999999997</v>
      </c>
      <c r="K154" s="39"/>
      <c r="L154" s="90"/>
    </row>
    <row r="155" spans="1:12" ht="18.75">
      <c r="A155" s="18" t="s">
        <v>2</v>
      </c>
      <c r="B155" s="60">
        <f>B9+B21+B47+B53+B122</f>
        <v>38.699999999999996</v>
      </c>
      <c r="C155" s="60">
        <f>C9+C21+C47+C53+C122</f>
        <v>186.9</v>
      </c>
      <c r="D155" s="60">
        <f>D9+D21+D47+D53+D122</f>
        <v>17.1</v>
      </c>
      <c r="E155" s="6">
        <f>D155/D150*100</f>
        <v>0.004382582540560032</v>
      </c>
      <c r="F155" s="6">
        <f t="shared" si="21"/>
        <v>44.186046511627914</v>
      </c>
      <c r="G155" s="6">
        <f t="shared" si="18"/>
        <v>9.149277688603531</v>
      </c>
      <c r="H155" s="61">
        <f t="shared" si="19"/>
        <v>21.599999999999994</v>
      </c>
      <c r="I155" s="72">
        <f t="shared" si="20"/>
        <v>169.8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299381.6000000001</v>
      </c>
      <c r="C156" s="78">
        <f>C150-C151-C152-C153-C154-C155</f>
        <v>996364.1999999997</v>
      </c>
      <c r="D156" s="78">
        <f>D150-D151-D152-D153-D154-D155</f>
        <v>189583.20000000013</v>
      </c>
      <c r="E156" s="36">
        <f>D156/D150*100</f>
        <v>48.58853931599421</v>
      </c>
      <c r="F156" s="36">
        <f t="shared" si="21"/>
        <v>63.32493379686663</v>
      </c>
      <c r="G156" s="36">
        <f t="shared" si="18"/>
        <v>19.02750018517327</v>
      </c>
      <c r="H156" s="127">
        <f t="shared" si="19"/>
        <v>109798.39999999997</v>
      </c>
      <c r="I156" s="127">
        <f t="shared" si="20"/>
        <v>806780.9999999995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390180.90000000014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1879696.1999999997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390180.90000000014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2017-04-03T07:18:08Z</cp:lastPrinted>
  <dcterms:created xsi:type="dcterms:W3CDTF">2000-06-20T04:48:00Z</dcterms:created>
  <dcterms:modified xsi:type="dcterms:W3CDTF">2017-04-04T05:03:11Z</dcterms:modified>
  <cp:category/>
  <cp:version/>
  <cp:contentType/>
  <cp:contentStatus/>
</cp:coreProperties>
</file>